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apositivas_estadistica\examen final EyO 2020\"/>
    </mc:Choice>
  </mc:AlternateContent>
  <xr:revisionPtr revIDLastSave="0" documentId="13_ncr:1_{720CEDB1-59B0-4B49-9729-285C1F934E96}" xr6:coauthVersionLast="45" xr6:coauthVersionMax="45" xr10:uidLastSave="{00000000-0000-0000-0000-000000000000}"/>
  <bookViews>
    <workbookView xWindow="-6735" yWindow="-360" windowWidth="15375" windowHeight="7875" xr2:uid="{00000000-000D-0000-FFFF-FFFF00000000}"/>
  </bookViews>
  <sheets>
    <sheet name="Hoja1" sheetId="1" r:id="rId1"/>
    <sheet name="Hoja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E44" i="1"/>
  <c r="C13" i="1" l="1"/>
  <c r="E11" i="1"/>
  <c r="F95" i="1" l="1"/>
  <c r="E95" i="1"/>
  <c r="G95" i="1"/>
  <c r="G94" i="1"/>
  <c r="F94" i="1"/>
  <c r="E94" i="1"/>
  <c r="G93" i="1"/>
  <c r="F93" i="1"/>
  <c r="E93" i="1"/>
  <c r="F18" i="1"/>
  <c r="I18" i="1"/>
  <c r="C18" i="1"/>
  <c r="K80" i="1"/>
  <c r="K79" i="1"/>
  <c r="H79" i="1"/>
  <c r="E79" i="1"/>
  <c r="I17" i="1"/>
  <c r="F17" i="1"/>
  <c r="C17" i="1"/>
  <c r="I11" i="1"/>
  <c r="M11" i="1"/>
  <c r="N3" i="1"/>
  <c r="M70" i="1"/>
  <c r="M69" i="1"/>
  <c r="M68" i="1"/>
  <c r="M67" i="1"/>
  <c r="M66" i="1"/>
  <c r="D63" i="1" s="1"/>
  <c r="M65" i="1"/>
  <c r="M64" i="1"/>
  <c r="L69" i="1"/>
  <c r="N69" i="1" s="1"/>
  <c r="L70" i="1"/>
  <c r="N70" i="1" s="1"/>
  <c r="L68" i="1"/>
  <c r="N68" i="1" s="1"/>
  <c r="L67" i="1"/>
  <c r="N67" i="1" s="1"/>
  <c r="L66" i="1"/>
  <c r="N66" i="1" s="1"/>
  <c r="L65" i="1"/>
  <c r="N65" i="1" s="1"/>
  <c r="L64" i="1"/>
  <c r="N64" i="1" s="1"/>
  <c r="M59" i="1"/>
  <c r="M58" i="1"/>
  <c r="M57" i="1"/>
  <c r="L59" i="1"/>
  <c r="N59" i="1" s="1"/>
  <c r="L58" i="1"/>
  <c r="L57" i="1"/>
  <c r="J59" i="1"/>
  <c r="J58" i="1"/>
  <c r="J57" i="1"/>
  <c r="L42" i="1"/>
  <c r="I42" i="1"/>
  <c r="G42" i="1"/>
  <c r="E42" i="1"/>
  <c r="H30" i="1"/>
  <c r="E30" i="1"/>
  <c r="H29" i="1"/>
  <c r="E29" i="1"/>
  <c r="H28" i="1"/>
  <c r="E28" i="1"/>
  <c r="K31" i="1"/>
  <c r="G11" i="1"/>
  <c r="C11" i="1"/>
  <c r="K11" i="1" s="1"/>
  <c r="D55" i="1" l="1"/>
  <c r="H78" i="1"/>
  <c r="E78" i="1"/>
  <c r="N58" i="1"/>
  <c r="D56" i="1" s="1"/>
  <c r="N57" i="1"/>
  <c r="D57" i="1" s="1"/>
  <c r="D18" i="1"/>
  <c r="D17" i="1"/>
  <c r="G18" i="1"/>
  <c r="G17" i="1"/>
  <c r="B99" i="1"/>
  <c r="E97" i="1"/>
  <c r="D28" i="1"/>
  <c r="E80" i="1"/>
  <c r="H80" i="1"/>
  <c r="K29" i="1"/>
  <c r="F68" i="1"/>
  <c r="F67" i="1"/>
  <c r="D62" i="1"/>
  <c r="D61" i="1"/>
  <c r="D68" i="1"/>
  <c r="J64" i="1"/>
  <c r="F69" i="1" l="1"/>
  <c r="D67" i="1"/>
  <c r="D69" i="1" l="1"/>
  <c r="K30" i="1" l="1"/>
  <c r="J69" i="1"/>
  <c r="J68" i="1"/>
  <c r="J66" i="1"/>
  <c r="J65" i="1"/>
  <c r="J70" i="1"/>
  <c r="J67" i="1"/>
  <c r="K70" i="1" l="1"/>
  <c r="K69" i="1"/>
  <c r="K67" i="1"/>
  <c r="F62" i="1" s="1"/>
  <c r="K68" i="1"/>
  <c r="K65" i="1"/>
  <c r="F61" i="1" s="1"/>
  <c r="K66" i="1"/>
  <c r="F63" i="1" s="1"/>
</calcChain>
</file>

<file path=xl/sharedStrings.xml><?xml version="1.0" encoding="utf-8"?>
<sst xmlns="http://schemas.openxmlformats.org/spreadsheetml/2006/main" count="150" uniqueCount="98">
  <si>
    <t>DNI/NIE</t>
  </si>
  <si>
    <t>DÍGITOS</t>
  </si>
  <si>
    <t>PRIMERO</t>
  </si>
  <si>
    <t>ÚLTIMO</t>
  </si>
  <si>
    <t>SEGUNDO</t>
  </si>
  <si>
    <t>TERCERO</t>
  </si>
  <si>
    <t>CUARTO</t>
  </si>
  <si>
    <t>QUINTO</t>
  </si>
  <si>
    <t>SEXTO</t>
  </si>
  <si>
    <t>SÉPTIMO</t>
  </si>
  <si>
    <t>MODELO DE ENUNCIADO A RESPONDER:</t>
  </si>
  <si>
    <r>
      <t xml:space="preserve"> SI AL COMPLETAR EL DNI, NIE O PASAPORTE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SIN LETRAS</t>
    </r>
    <r>
      <rPr>
        <b/>
        <sz val="11"/>
        <color rgb="FFFF0000"/>
        <rFont val="Calibri"/>
        <family val="2"/>
        <scheme val="minor"/>
      </rPr>
      <t>, EMPEZANDO SIEMPRE A RELLENAR POR EL ÚLTIMO DÍGITO, FALTAN DÍGITOS SE COMPLETARÁN CON CEROS</t>
    </r>
  </si>
  <si>
    <t>NO OLVIDES ESCRIBIR EN LA PRIMERA PÁGINA EL DOCUMENTO QUE HAS INTRODUCIDO (CON LOS 8 DÍGITOS) Y EL MODELO QUE HAS OBTENIDO</t>
  </si>
  <si>
    <t>PROBLEMA 1. DATOS PARA LAS CUESTIONES Q1 Y Q2</t>
  </si>
  <si>
    <t>Q1)</t>
  </si>
  <si>
    <t>AA =</t>
  </si>
  <si>
    <t>AD =</t>
  </si>
  <si>
    <t>AC =</t>
  </si>
  <si>
    <t>AB =</t>
  </si>
  <si>
    <t>AE =</t>
  </si>
  <si>
    <t>AF =</t>
  </si>
  <si>
    <t>Q2)</t>
  </si>
  <si>
    <t>+</t>
  </si>
  <si>
    <t>PROBLEMA 2. DATOS PARA LAS CUESTIONES Q3, Q4 Y Q5</t>
  </si>
  <si>
    <t>X</t>
  </si>
  <si>
    <t>Y</t>
  </si>
  <si>
    <t>S.A:</t>
  </si>
  <si>
    <t>&gt;=</t>
  </si>
  <si>
    <t>&lt;=</t>
  </si>
  <si>
    <t>X &gt;= 0</t>
  </si>
  <si>
    <t>PROBLEMA 3. DATOS PARA LA CUESTIÓN Q6</t>
  </si>
  <si>
    <t>f(x) =</t>
  </si>
  <si>
    <t>x^3</t>
  </si>
  <si>
    <t>x^2</t>
  </si>
  <si>
    <t>x</t>
  </si>
  <si>
    <t>Celdas cambiantes</t>
  </si>
  <si>
    <t>Valor</t>
  </si>
  <si>
    <t>Gradiente</t>
  </si>
  <si>
    <t>Coeficiente</t>
  </si>
  <si>
    <t>Aumento</t>
  </si>
  <si>
    <t>Celda</t>
  </si>
  <si>
    <t>Nombre</t>
  </si>
  <si>
    <t>Igual</t>
  </si>
  <si>
    <t>reducido</t>
  </si>
  <si>
    <t>objetivo</t>
  </si>
  <si>
    <t>permisible</t>
  </si>
  <si>
    <t>Restricciones</t>
  </si>
  <si>
    <t>Sombra</t>
  </si>
  <si>
    <t>Restricción</t>
  </si>
  <si>
    <t>precio</t>
  </si>
  <si>
    <t>lado derecho</t>
  </si>
  <si>
    <t>P1</t>
  </si>
  <si>
    <t>P2</t>
  </si>
  <si>
    <t>P3</t>
  </si>
  <si>
    <t>D1</t>
  </si>
  <si>
    <t>D2</t>
  </si>
  <si>
    <t>CA=</t>
  </si>
  <si>
    <t>CB=</t>
  </si>
  <si>
    <t xml:space="preserve">SI NO CONVERGE ANTES, ESCRIBIR SOLO 7 ITERACIONES Y </t>
  </si>
  <si>
    <t>DAR LA SOLUCIÓN HASTA ESE MOMENTO</t>
  </si>
  <si>
    <t>Disminución</t>
  </si>
  <si>
    <t>Q8)</t>
  </si>
  <si>
    <t>DA =</t>
  </si>
  <si>
    <t>Q9)</t>
  </si>
  <si>
    <t>DB=</t>
  </si>
  <si>
    <t>DC=</t>
  </si>
  <si>
    <t>Q10)</t>
  </si>
  <si>
    <t>DD=</t>
  </si>
  <si>
    <t>DE=</t>
  </si>
  <si>
    <t>X en Z+</t>
  </si>
  <si>
    <t>Y en Z+</t>
  </si>
  <si>
    <t>MAX</t>
  </si>
  <si>
    <t>PROBLEMA 4. DATOS PARA LAS CUESTIONES Q7, Q8, Q9 Y Q10</t>
  </si>
  <si>
    <t xml:space="preserve">PROBLEMA 5. DATOS PARA LA CUESTIÓN Q11 </t>
  </si>
  <si>
    <t>PROBLEMA 6. DATOS PARA LAS CUESTIONES Q12, Q13 Y Q14</t>
  </si>
  <si>
    <t>(10 MIN)</t>
  </si>
  <si>
    <t>(20 MIN)</t>
  </si>
  <si>
    <t>(15 MIN)</t>
  </si>
  <si>
    <t>(25 MIN)</t>
  </si>
  <si>
    <t>AG=</t>
  </si>
  <si>
    <t>f1(n) =</t>
  </si>
  <si>
    <t>f2(n) =</t>
  </si>
  <si>
    <t>Y en R</t>
  </si>
  <si>
    <t>MAT1</t>
  </si>
  <si>
    <t>MAT2</t>
  </si>
  <si>
    <t>MAT3</t>
  </si>
  <si>
    <t>TRAB</t>
  </si>
  <si>
    <t>CAP</t>
  </si>
  <si>
    <t>MODELO 1</t>
  </si>
  <si>
    <t>MODELO 2</t>
  </si>
  <si>
    <t>MODELO 3</t>
  </si>
  <si>
    <t>PLANTA 1</t>
  </si>
  <si>
    <t>PLANTA 2</t>
  </si>
  <si>
    <t>PLANTA 3</t>
  </si>
  <si>
    <t>COSTE DE PRODUCCIÓN UNITARIO</t>
  </si>
  <si>
    <t>COSTE DE PUESTA EN MARCHA</t>
  </si>
  <si>
    <t>CAPACIDAD MÁXIMA PRODUCCIÓN</t>
  </si>
  <si>
    <t>DEMANDA DEL PRODUCTO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</si>
</sst>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2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1" fillId="2" borderId="1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5" fillId="5" borderId="0" xfId="0" applyFont="1" applyFill="1" applyProtection="1">
      <protection hidden="1"/>
    </xf>
    <xf numFmtId="0" fontId="0" fillId="5" borderId="0" xfId="0" applyFill="1" applyProtection="1">
      <protection locked="0"/>
    </xf>
    <xf numFmtId="0" fontId="0" fillId="5" borderId="0" xfId="0" applyFill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1" fillId="0" borderId="0" xfId="0" applyFont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hidden="1"/>
    </xf>
    <xf numFmtId="0" fontId="0" fillId="0" borderId="0" xfId="0" applyFill="1"/>
    <xf numFmtId="0" fontId="1" fillId="5" borderId="0" xfId="0" applyFont="1" applyFill="1" applyProtection="1">
      <protection hidden="1"/>
    </xf>
    <xf numFmtId="0" fontId="1" fillId="0" borderId="0" xfId="0" applyFont="1" applyFill="1" applyAlignment="1" applyProtection="1">
      <alignment horizontal="left"/>
      <protection locked="0"/>
    </xf>
    <xf numFmtId="164" fontId="1" fillId="0" borderId="0" xfId="0" applyNumberFormat="1" applyFont="1" applyFill="1" applyAlignment="1" applyProtection="1">
      <alignment horizontal="left"/>
      <protection locked="0"/>
    </xf>
    <xf numFmtId="164" fontId="1" fillId="0" borderId="0" xfId="0" applyNumberFormat="1" applyFont="1" applyFill="1" applyProtection="1">
      <protection locked="0"/>
    </xf>
    <xf numFmtId="2" fontId="1" fillId="0" borderId="0" xfId="0" applyNumberFormat="1" applyFont="1" applyFill="1" applyProtection="1">
      <protection locked="0"/>
    </xf>
    <xf numFmtId="2" fontId="1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1" fillId="5" borderId="0" xfId="0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center"/>
      <protection hidden="1"/>
    </xf>
    <xf numFmtId="164" fontId="1" fillId="5" borderId="0" xfId="0" applyNumberFormat="1" applyFont="1" applyFill="1" applyProtection="1">
      <protection hidden="1"/>
    </xf>
    <xf numFmtId="2" fontId="1" fillId="5" borderId="0" xfId="0" applyNumberFormat="1" applyFont="1" applyFill="1" applyProtection="1">
      <protection hidden="1"/>
    </xf>
    <xf numFmtId="0" fontId="1" fillId="7" borderId="0" xfId="0" applyFont="1" applyFill="1" applyProtection="1">
      <protection hidden="1"/>
    </xf>
    <xf numFmtId="0" fontId="1" fillId="7" borderId="0" xfId="0" applyFont="1" applyFill="1" applyAlignment="1" applyProtection="1">
      <alignment horizontal="right"/>
      <protection hidden="1"/>
    </xf>
    <xf numFmtId="2" fontId="1" fillId="7" borderId="0" xfId="0" applyNumberFormat="1" applyFont="1" applyFill="1" applyAlignment="1" applyProtection="1">
      <alignment horizontal="left"/>
      <protection hidden="1"/>
    </xf>
    <xf numFmtId="2" fontId="1" fillId="2" borderId="0" xfId="0" applyNumberFormat="1" applyFont="1" applyFill="1" applyAlignment="1" applyProtection="1">
      <alignment horizontal="left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0" fillId="6" borderId="5" xfId="0" applyFill="1" applyBorder="1" applyAlignment="1" applyProtection="1">
      <protection hidden="1"/>
    </xf>
    <xf numFmtId="0" fontId="1" fillId="6" borderId="5" xfId="0" applyFont="1" applyFill="1" applyBorder="1" applyAlignment="1" applyProtection="1">
      <alignment horizontal="center"/>
      <protection hidden="1"/>
    </xf>
    <xf numFmtId="0" fontId="1" fillId="6" borderId="5" xfId="0" applyNumberFormat="1" applyFont="1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protection hidden="1"/>
    </xf>
    <xf numFmtId="0" fontId="1" fillId="6" borderId="6" xfId="0" applyFont="1" applyFill="1" applyBorder="1" applyAlignment="1" applyProtection="1">
      <alignment horizontal="center"/>
      <protection hidden="1"/>
    </xf>
    <xf numFmtId="0" fontId="1" fillId="6" borderId="6" xfId="0" applyNumberFormat="1" applyFont="1" applyFill="1" applyBorder="1" applyAlignment="1" applyProtection="1">
      <alignment horizontal="center"/>
      <protection hidden="1"/>
    </xf>
    <xf numFmtId="0" fontId="3" fillId="6" borderId="5" xfId="0" applyNumberFormat="1" applyFont="1" applyFill="1" applyBorder="1" applyAlignment="1" applyProtection="1">
      <alignment horizontal="center"/>
      <protection hidden="1"/>
    </xf>
    <xf numFmtId="0" fontId="3" fillId="6" borderId="6" xfId="0" applyNumberFormat="1" applyFont="1" applyFill="1" applyBorder="1" applyAlignment="1" applyProtection="1">
      <alignment horizontal="center"/>
      <protection hidden="1"/>
    </xf>
    <xf numFmtId="0" fontId="1" fillId="5" borderId="0" xfId="0" applyNumberFormat="1" applyFont="1" applyFill="1" applyAlignment="1" applyProtection="1">
      <alignment horizontal="right"/>
      <protection hidden="1"/>
    </xf>
    <xf numFmtId="2" fontId="1" fillId="5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A29" zoomScale="70" zoomScaleNormal="70" workbookViewId="0">
      <selection activeCell="A12" sqref="A12"/>
    </sheetView>
  </sheetViews>
  <sheetFormatPr baseColWidth="10" defaultColWidth="10.7109375" defaultRowHeight="15" x14ac:dyDescent="0.25"/>
  <cols>
    <col min="1" max="1" width="8.85546875" style="2" customWidth="1"/>
    <col min="2" max="2" width="9.7109375" style="2" customWidth="1"/>
    <col min="3" max="3" width="9.28515625" style="2" customWidth="1"/>
    <col min="4" max="4" width="12.7109375" style="2" customWidth="1"/>
    <col min="5" max="5" width="10.140625" style="2" customWidth="1"/>
    <col min="6" max="6" width="8.7109375" style="2" customWidth="1"/>
    <col min="7" max="7" width="9.42578125" style="2" customWidth="1"/>
    <col min="8" max="8" width="9.7109375" style="2" customWidth="1"/>
    <col min="9" max="9" width="9" style="2" customWidth="1"/>
    <col min="10" max="10" width="10.7109375" style="2"/>
    <col min="11" max="11" width="11.42578125" style="2" bestFit="1" customWidth="1"/>
    <col min="12" max="13" width="10.7109375" style="2"/>
    <col min="14" max="15" width="10.7109375" style="1"/>
    <col min="16" max="16384" width="10.7109375" style="2"/>
  </cols>
  <sheetData>
    <row r="1" spans="1:17" x14ac:dyDescent="0.25">
      <c r="A1" s="8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7"/>
    </row>
    <row r="2" spans="1:17" ht="15.75" thickBot="1" x14ac:dyDescent="0.3">
      <c r="A2" s="10" t="s">
        <v>1</v>
      </c>
      <c r="B2" s="10" t="s">
        <v>2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3</v>
      </c>
      <c r="J2" s="7"/>
      <c r="K2" s="7"/>
      <c r="L2" s="7"/>
      <c r="M2" s="7"/>
      <c r="N2" s="11"/>
      <c r="O2" s="11"/>
      <c r="P2" s="7"/>
      <c r="Q2" s="7"/>
    </row>
    <row r="3" spans="1:17" ht="15.75" thickBot="1" x14ac:dyDescent="0.3">
      <c r="A3" s="10" t="s">
        <v>0</v>
      </c>
      <c r="B3" s="4">
        <v>0</v>
      </c>
      <c r="C3" s="4">
        <v>4</v>
      </c>
      <c r="D3" s="4">
        <v>0</v>
      </c>
      <c r="E3" s="4">
        <v>4</v>
      </c>
      <c r="F3" s="4">
        <v>1</v>
      </c>
      <c r="G3" s="4">
        <v>6</v>
      </c>
      <c r="H3" s="4">
        <v>8</v>
      </c>
      <c r="I3" s="5">
        <v>4</v>
      </c>
      <c r="J3" s="12" t="s">
        <v>10</v>
      </c>
      <c r="K3" s="12"/>
      <c r="L3" s="12"/>
      <c r="M3" s="12"/>
      <c r="N3" s="3">
        <f>+MOD(H3,3) + 1</f>
        <v>3</v>
      </c>
      <c r="O3" s="13"/>
      <c r="P3" s="13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3"/>
      <c r="O4" s="11"/>
      <c r="P4" s="7"/>
      <c r="Q4" s="7"/>
    </row>
    <row r="5" spans="1:17" x14ac:dyDescent="0.25">
      <c r="A5" s="21" t="s">
        <v>12</v>
      </c>
      <c r="B5" s="7"/>
      <c r="C5" s="7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11"/>
      <c r="P5" s="7"/>
      <c r="Q5" s="7"/>
    </row>
    <row r="6" spans="1:17" x14ac:dyDescent="0.25">
      <c r="A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7" s="38" customFormat="1" x14ac:dyDescent="0.25">
      <c r="A7" s="35"/>
      <c r="B7" s="36"/>
      <c r="C7" s="37"/>
      <c r="D7" s="36"/>
      <c r="F7" s="35"/>
      <c r="H7" s="35"/>
      <c r="I7" s="35"/>
      <c r="J7" s="35"/>
      <c r="K7" s="35"/>
      <c r="L7" s="35"/>
      <c r="M7" s="35"/>
      <c r="N7" s="35"/>
    </row>
    <row r="9" spans="1:17" s="15" customFormat="1" ht="18.75" x14ac:dyDescent="0.3">
      <c r="A9" s="14" t="s">
        <v>13</v>
      </c>
      <c r="B9" s="16"/>
      <c r="C9" s="16"/>
      <c r="D9" s="16"/>
      <c r="E9" s="16"/>
      <c r="F9" s="16"/>
      <c r="G9" s="16"/>
      <c r="H9" s="16"/>
      <c r="I9" s="29" t="s">
        <v>75</v>
      </c>
      <c r="J9" s="16"/>
      <c r="K9" s="16"/>
      <c r="L9" s="16"/>
      <c r="M9" s="16"/>
    </row>
    <row r="10" spans="1:17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6"/>
      <c r="K10" s="7"/>
      <c r="L10" s="7"/>
      <c r="M10" s="7"/>
    </row>
    <row r="11" spans="1:17" x14ac:dyDescent="0.25">
      <c r="A11" s="42" t="s">
        <v>14</v>
      </c>
      <c r="B11" s="43" t="s">
        <v>15</v>
      </c>
      <c r="C11" s="44">
        <f>+MOD(H3+I3,4)+2</f>
        <v>2</v>
      </c>
      <c r="D11" s="43" t="s">
        <v>18</v>
      </c>
      <c r="E11" s="45">
        <f>ROUND(+(I3+1)/(H3+2) +0.5,3)</f>
        <v>1</v>
      </c>
      <c r="F11" s="46" t="s">
        <v>17</v>
      </c>
      <c r="G11" s="47">
        <f>+MOD(G3+F3,4)+2</f>
        <v>5</v>
      </c>
      <c r="H11" s="46" t="s">
        <v>16</v>
      </c>
      <c r="I11" s="47">
        <f>+(F3+1)/(G3+2) +0.5</f>
        <v>0.75</v>
      </c>
      <c r="J11" s="43" t="s">
        <v>19</v>
      </c>
      <c r="K11" s="44">
        <f>+C11</f>
        <v>2</v>
      </c>
      <c r="L11" s="43" t="s">
        <v>20</v>
      </c>
      <c r="M11" s="44">
        <f>+(D3+1)/(H3+2) +0.5</f>
        <v>0.6</v>
      </c>
    </row>
    <row r="12" spans="1:17" x14ac:dyDescent="0.25">
      <c r="A12" s="23"/>
      <c r="B12" s="24"/>
      <c r="C12" s="30"/>
      <c r="D12" s="24"/>
      <c r="E12" s="31"/>
      <c r="F12" s="24"/>
      <c r="G12" s="30"/>
      <c r="H12" s="24"/>
      <c r="I12" s="30"/>
      <c r="J12" s="24"/>
      <c r="K12" s="30"/>
      <c r="L12" s="24"/>
      <c r="M12" s="30"/>
    </row>
    <row r="13" spans="1:17" x14ac:dyDescent="0.25">
      <c r="A13" s="23"/>
      <c r="B13" s="43" t="s">
        <v>79</v>
      </c>
      <c r="C13" s="44">
        <f>ROUND(1/(SUM(E3:I3)+5),4)</f>
        <v>3.5700000000000003E-2</v>
      </c>
      <c r="D13" s="24"/>
      <c r="E13" s="31"/>
      <c r="F13" s="24"/>
      <c r="G13" s="30"/>
      <c r="H13" s="24"/>
      <c r="I13" s="30"/>
      <c r="J13" s="24"/>
      <c r="K13" s="30"/>
      <c r="L13" s="24"/>
      <c r="M13" s="30"/>
    </row>
    <row r="14" spans="1:17" x14ac:dyDescent="0.25">
      <c r="A14" s="23"/>
      <c r="B14" s="24"/>
      <c r="C14" s="30"/>
      <c r="D14" s="24"/>
      <c r="E14" s="31"/>
      <c r="F14" s="24"/>
      <c r="G14" s="30"/>
      <c r="H14" s="24"/>
      <c r="I14" s="30"/>
      <c r="J14" s="24"/>
      <c r="K14" s="30"/>
      <c r="L14" s="24"/>
      <c r="M14" s="30"/>
    </row>
    <row r="15" spans="1:17" x14ac:dyDescent="0.25">
      <c r="A15" s="23"/>
      <c r="B15" s="24"/>
      <c r="C15" s="30"/>
      <c r="D15" s="24"/>
      <c r="E15" s="31"/>
      <c r="F15" s="24"/>
      <c r="G15" s="30"/>
      <c r="H15" s="24"/>
      <c r="I15" s="30"/>
      <c r="J15" s="24"/>
      <c r="K15" s="30"/>
      <c r="L15" s="24"/>
      <c r="M15" s="30"/>
    </row>
    <row r="17" spans="1:13" x14ac:dyDescent="0.25">
      <c r="A17" s="42" t="s">
        <v>21</v>
      </c>
      <c r="B17" s="43" t="s">
        <v>80</v>
      </c>
      <c r="C17" s="29">
        <f>+H3+5</f>
        <v>13</v>
      </c>
      <c r="D17" s="29" t="str">
        <f>+IF(N4=1,"n^2",IF(N4=2,"nlog(n)","n!"))</f>
        <v>n!</v>
      </c>
      <c r="E17" s="48" t="s">
        <v>22</v>
      </c>
      <c r="F17" s="29">
        <f>+I3+1</f>
        <v>5</v>
      </c>
      <c r="G17" s="29" t="str">
        <f>+IF(N4=1,"n^(5/2)",IF(N4=2,"n^(3/2)","nlog(n)"))</f>
        <v>nlog(n)</v>
      </c>
      <c r="H17" s="48" t="s">
        <v>22</v>
      </c>
      <c r="I17" s="44">
        <f>+G3+2</f>
        <v>8</v>
      </c>
      <c r="J17" s="24"/>
      <c r="K17" s="30"/>
      <c r="L17" s="24"/>
      <c r="M17" s="31"/>
    </row>
    <row r="18" spans="1:13" x14ac:dyDescent="0.25">
      <c r="A18" s="23"/>
      <c r="B18" s="43" t="s">
        <v>81</v>
      </c>
      <c r="C18" s="29">
        <f>2*G3+3</f>
        <v>15</v>
      </c>
      <c r="D18" s="29" t="str">
        <f>+IF(N4=1,"n^(3/2)log(n)",IF(N4=2, "n^(3/2)log(n)","n^(1/2)log(n)"))</f>
        <v>n^(1/2)log(n)</v>
      </c>
      <c r="E18" s="48" t="s">
        <v>22</v>
      </c>
      <c r="F18" s="29">
        <f>+F3*2+3</f>
        <v>5</v>
      </c>
      <c r="G18" s="29" t="str">
        <f>+IF(N4=1,"nlog(n)",IF(N4=2,"n^2","n"))</f>
        <v>n</v>
      </c>
      <c r="H18" s="48" t="s">
        <v>22</v>
      </c>
      <c r="I18" s="44">
        <f>+I3+3</f>
        <v>7</v>
      </c>
      <c r="J18" s="24"/>
      <c r="K18" s="30"/>
      <c r="L18" s="24"/>
      <c r="M18" s="31"/>
    </row>
    <row r="19" spans="1:13" x14ac:dyDescent="0.25">
      <c r="A19" s="23"/>
      <c r="B19" s="24"/>
      <c r="C19" s="25"/>
      <c r="D19" s="25"/>
      <c r="E19" s="26"/>
      <c r="F19" s="25"/>
      <c r="G19" s="25"/>
      <c r="H19" s="26"/>
      <c r="I19" s="30"/>
      <c r="J19" s="24"/>
      <c r="K19" s="30"/>
      <c r="L19" s="24"/>
      <c r="M19" s="31"/>
    </row>
    <row r="20" spans="1:13" x14ac:dyDescent="0.25">
      <c r="A20" s="23"/>
      <c r="B20" s="24"/>
      <c r="C20" s="25"/>
      <c r="D20" s="25"/>
      <c r="E20" s="26"/>
      <c r="F20" s="25"/>
      <c r="G20" s="25"/>
      <c r="H20" s="26"/>
      <c r="I20" s="30"/>
      <c r="J20" s="24"/>
      <c r="K20" s="30"/>
      <c r="L20" s="24"/>
      <c r="M20" s="31"/>
    </row>
    <row r="21" spans="1:13" x14ac:dyDescent="0.25">
      <c r="A21" s="23"/>
      <c r="B21" s="24"/>
      <c r="C21" s="25"/>
      <c r="D21" s="25"/>
      <c r="E21" s="26"/>
      <c r="F21" s="25"/>
      <c r="G21" s="25"/>
      <c r="H21" s="26"/>
      <c r="I21" s="30"/>
      <c r="J21" s="24"/>
      <c r="K21" s="30"/>
      <c r="L21" s="24"/>
      <c r="M21" s="31"/>
    </row>
    <row r="22" spans="1:13" x14ac:dyDescent="0.25">
      <c r="A22" s="23"/>
      <c r="B22" s="24"/>
      <c r="C22" s="25"/>
      <c r="D22" s="25"/>
      <c r="E22" s="26"/>
      <c r="F22" s="25"/>
      <c r="G22" s="25"/>
      <c r="H22" s="26"/>
      <c r="I22" s="30"/>
      <c r="J22" s="24"/>
      <c r="K22" s="30"/>
      <c r="L22" s="24"/>
      <c r="M22" s="31"/>
    </row>
    <row r="23" spans="1:13" x14ac:dyDescent="0.25">
      <c r="A23" s="23"/>
      <c r="B23" s="24"/>
      <c r="C23" s="25"/>
      <c r="D23" s="25"/>
      <c r="E23" s="26"/>
      <c r="F23" s="25"/>
      <c r="G23" s="25"/>
      <c r="H23" s="26"/>
      <c r="I23" s="30"/>
      <c r="J23" s="24"/>
      <c r="K23" s="30"/>
      <c r="L23" s="24"/>
      <c r="M23" s="31"/>
    </row>
    <row r="24" spans="1:13" x14ac:dyDescent="0.25">
      <c r="A24" s="23"/>
      <c r="B24" s="24"/>
      <c r="C24" s="25"/>
      <c r="D24" s="25"/>
      <c r="E24" s="26"/>
      <c r="F24" s="25"/>
      <c r="G24" s="25"/>
      <c r="H24" s="26"/>
      <c r="I24" s="30"/>
      <c r="J24" s="24"/>
      <c r="K24" s="30"/>
      <c r="L24" s="24"/>
      <c r="M24" s="31"/>
    </row>
    <row r="26" spans="1:13" s="15" customFormat="1" ht="18.75" x14ac:dyDescent="0.3">
      <c r="A26" s="14" t="s">
        <v>23</v>
      </c>
      <c r="B26" s="16"/>
      <c r="C26" s="16"/>
      <c r="D26" s="16"/>
      <c r="E26" s="16"/>
      <c r="F26" s="16"/>
      <c r="G26" s="16"/>
      <c r="H26" s="16"/>
      <c r="I26" s="29" t="s">
        <v>78</v>
      </c>
      <c r="J26" s="16"/>
      <c r="K26" s="16"/>
    </row>
    <row r="28" spans="1:13" x14ac:dyDescent="0.25">
      <c r="D28" s="43" t="str">
        <f>+IF(N3=2,"MIN","MAX")</f>
        <v>MAX</v>
      </c>
      <c r="E28" s="29">
        <f>+G3+2</f>
        <v>8</v>
      </c>
      <c r="F28" s="29" t="s">
        <v>24</v>
      </c>
      <c r="G28" s="48" t="s">
        <v>22</v>
      </c>
      <c r="H28" s="29">
        <f>+H3+1</f>
        <v>9</v>
      </c>
      <c r="I28" s="29" t="s">
        <v>25</v>
      </c>
      <c r="J28" s="16"/>
      <c r="K28" s="16"/>
    </row>
    <row r="29" spans="1:13" x14ac:dyDescent="0.25">
      <c r="D29" s="43" t="s">
        <v>26</v>
      </c>
      <c r="E29" s="29">
        <f>+(H3+3)/2</f>
        <v>5.5</v>
      </c>
      <c r="F29" s="29" t="s">
        <v>24</v>
      </c>
      <c r="G29" s="48" t="s">
        <v>22</v>
      </c>
      <c r="H29" s="29">
        <f>+(G3+3)/2</f>
        <v>4.5</v>
      </c>
      <c r="I29" s="29" t="s">
        <v>25</v>
      </c>
      <c r="J29" s="48" t="s">
        <v>28</v>
      </c>
      <c r="K29" s="44">
        <f>+E29*H29*2</f>
        <v>49.5</v>
      </c>
    </row>
    <row r="30" spans="1:13" x14ac:dyDescent="0.25">
      <c r="D30" s="16"/>
      <c r="E30" s="29">
        <f>+(G3+6)/2</f>
        <v>6</v>
      </c>
      <c r="F30" s="29" t="s">
        <v>24</v>
      </c>
      <c r="G30" s="48" t="s">
        <v>22</v>
      </c>
      <c r="H30" s="29">
        <f>+(H3+2)/2</f>
        <v>5</v>
      </c>
      <c r="I30" s="29" t="s">
        <v>25</v>
      </c>
      <c r="J30" s="48" t="s">
        <v>28</v>
      </c>
      <c r="K30" s="44">
        <f>+E30*H30*2</f>
        <v>60</v>
      </c>
    </row>
    <row r="31" spans="1:13" x14ac:dyDescent="0.25">
      <c r="D31" s="16"/>
      <c r="E31" s="29"/>
      <c r="F31" s="29"/>
      <c r="G31" s="48"/>
      <c r="H31" s="29"/>
      <c r="I31" s="29" t="s">
        <v>25</v>
      </c>
      <c r="J31" s="48" t="s">
        <v>27</v>
      </c>
      <c r="K31" s="44">
        <f>+-(H3+3)/2</f>
        <v>-5.5</v>
      </c>
    </row>
    <row r="32" spans="1:13" x14ac:dyDescent="0.25">
      <c r="D32" s="16"/>
      <c r="E32" s="16"/>
      <c r="F32" s="29" t="s">
        <v>29</v>
      </c>
      <c r="G32" s="29"/>
      <c r="H32" s="29"/>
      <c r="I32" s="29" t="s">
        <v>82</v>
      </c>
      <c r="J32" s="16"/>
      <c r="K32" s="16"/>
    </row>
    <row r="33" spans="1:13" x14ac:dyDescent="0.25">
      <c r="D33" s="1"/>
      <c r="E33" s="1"/>
      <c r="F33" s="25"/>
      <c r="G33" s="25"/>
      <c r="H33" s="25"/>
      <c r="I33" s="25"/>
      <c r="J33" s="1"/>
      <c r="K33" s="1"/>
    </row>
    <row r="34" spans="1:13" x14ac:dyDescent="0.25">
      <c r="D34" s="1"/>
      <c r="E34" s="1"/>
      <c r="F34" s="25"/>
      <c r="G34" s="25"/>
      <c r="H34" s="25"/>
      <c r="I34" s="25"/>
      <c r="J34" s="1"/>
      <c r="K34" s="1"/>
    </row>
    <row r="35" spans="1:13" x14ac:dyDescent="0.25">
      <c r="D35" s="1"/>
      <c r="E35" s="1"/>
      <c r="F35" s="25"/>
      <c r="G35" s="25"/>
      <c r="H35" s="25"/>
      <c r="I35" s="25"/>
      <c r="J35" s="1"/>
      <c r="K35" s="1"/>
    </row>
    <row r="36" spans="1:13" x14ac:dyDescent="0.25">
      <c r="D36" s="1"/>
      <c r="E36" s="1"/>
      <c r="F36" s="25"/>
      <c r="G36" s="25"/>
      <c r="H36" s="25"/>
      <c r="I36" s="25"/>
      <c r="J36" s="1"/>
      <c r="K36" s="1"/>
    </row>
    <row r="37" spans="1:13" x14ac:dyDescent="0.25">
      <c r="D37" s="1"/>
      <c r="E37" s="1"/>
      <c r="F37" s="25"/>
      <c r="G37" s="25"/>
      <c r="H37" s="25"/>
      <c r="I37" s="25"/>
      <c r="J37" s="1"/>
      <c r="K37" s="1"/>
    </row>
    <row r="38" spans="1:13" x14ac:dyDescent="0.25">
      <c r="D38" s="1"/>
      <c r="E38" s="1"/>
      <c r="F38" s="25"/>
      <c r="G38" s="25"/>
      <c r="H38" s="25"/>
      <c r="I38" s="25"/>
      <c r="J38" s="1"/>
      <c r="K38" s="1"/>
    </row>
    <row r="40" spans="1:13" s="15" customFormat="1" ht="18.75" x14ac:dyDescent="0.3">
      <c r="A40" s="14" t="s">
        <v>30</v>
      </c>
      <c r="B40" s="16"/>
      <c r="C40" s="16"/>
      <c r="D40" s="16"/>
      <c r="E40" s="16"/>
      <c r="F40" s="16"/>
      <c r="G40" s="16"/>
      <c r="H40" s="16"/>
      <c r="I40" s="29" t="s">
        <v>75</v>
      </c>
      <c r="J40" s="16"/>
      <c r="K40" s="16"/>
      <c r="L40" s="16"/>
    </row>
    <row r="42" spans="1:13" x14ac:dyDescent="0.25">
      <c r="D42" s="43" t="s">
        <v>31</v>
      </c>
      <c r="E42" s="29">
        <f>+(G3+3)/2</f>
        <v>4.5</v>
      </c>
      <c r="F42" s="29" t="s">
        <v>32</v>
      </c>
      <c r="G42" s="29">
        <f>+-(H3+3)</f>
        <v>-11</v>
      </c>
      <c r="H42" s="29" t="s">
        <v>33</v>
      </c>
      <c r="I42" s="29">
        <f>+-G3-1</f>
        <v>-7</v>
      </c>
      <c r="J42" s="29" t="s">
        <v>34</v>
      </c>
      <c r="K42" s="48" t="s">
        <v>22</v>
      </c>
      <c r="L42" s="29">
        <f>+(H3+1)/4</f>
        <v>2.25</v>
      </c>
    </row>
    <row r="43" spans="1:13" x14ac:dyDescent="0.25">
      <c r="D43" s="24"/>
      <c r="E43" s="25"/>
      <c r="F43" s="25"/>
      <c r="G43" s="25"/>
      <c r="H43" s="25"/>
      <c r="I43" s="25"/>
      <c r="J43" s="25"/>
      <c r="K43" s="26"/>
      <c r="L43" s="25"/>
    </row>
    <row r="44" spans="1:13" x14ac:dyDescent="0.25">
      <c r="D44" s="43" t="s">
        <v>56</v>
      </c>
      <c r="E44" s="49">
        <f>ROUND(1/(3*SUM(B3:I3)+2),3)</f>
        <v>1.2E-2</v>
      </c>
      <c r="F44" s="43" t="s">
        <v>57</v>
      </c>
      <c r="G44" s="49">
        <f>ROUND(+SQRT(G3+H3+1.5),3)</f>
        <v>3.9369999999999998</v>
      </c>
      <c r="H44" s="29"/>
      <c r="I44" s="29" t="s">
        <v>58</v>
      </c>
      <c r="J44" s="29"/>
      <c r="K44" s="48"/>
      <c r="L44" s="29"/>
      <c r="M44" s="16"/>
    </row>
    <row r="45" spans="1:13" x14ac:dyDescent="0.25">
      <c r="D45" s="43"/>
      <c r="E45" s="49"/>
      <c r="F45" s="43"/>
      <c r="G45" s="50"/>
      <c r="H45" s="29"/>
      <c r="I45" s="29" t="s">
        <v>59</v>
      </c>
      <c r="J45" s="29"/>
      <c r="K45" s="48"/>
      <c r="L45" s="29"/>
      <c r="M45" s="16"/>
    </row>
    <row r="46" spans="1:13" x14ac:dyDescent="0.25">
      <c r="D46" s="24"/>
      <c r="E46" s="32"/>
      <c r="F46" s="24"/>
      <c r="G46" s="33"/>
      <c r="H46" s="25"/>
      <c r="I46" s="25"/>
      <c r="J46" s="25"/>
      <c r="K46" s="26"/>
      <c r="L46" s="25"/>
      <c r="M46" s="1"/>
    </row>
    <row r="47" spans="1:13" x14ac:dyDescent="0.25">
      <c r="D47" s="24"/>
      <c r="E47" s="32"/>
      <c r="F47" s="24"/>
      <c r="G47" s="33"/>
      <c r="H47" s="25"/>
      <c r="I47" s="25"/>
      <c r="J47" s="25"/>
      <c r="K47" s="26"/>
      <c r="L47" s="25"/>
      <c r="M47" s="1"/>
    </row>
    <row r="48" spans="1:13" x14ac:dyDescent="0.25">
      <c r="D48" s="24"/>
      <c r="E48" s="32"/>
      <c r="F48" s="24"/>
      <c r="G48" s="33"/>
      <c r="H48" s="25"/>
      <c r="I48" s="25"/>
      <c r="J48" s="25"/>
      <c r="K48" s="26"/>
      <c r="L48" s="25"/>
      <c r="M48" s="1"/>
    </row>
    <row r="49" spans="1:14" x14ac:dyDescent="0.25">
      <c r="D49" s="24"/>
      <c r="E49" s="32"/>
      <c r="F49" s="24"/>
      <c r="G49" s="33"/>
      <c r="H49" s="25"/>
      <c r="I49" s="25"/>
      <c r="J49" s="25"/>
      <c r="K49" s="26"/>
      <c r="L49" s="25"/>
      <c r="M49" s="1"/>
    </row>
    <row r="50" spans="1:14" x14ac:dyDescent="0.25">
      <c r="D50" s="24"/>
      <c r="E50" s="32"/>
      <c r="F50" s="24"/>
      <c r="G50" s="33"/>
      <c r="H50" s="25"/>
      <c r="I50" s="25"/>
      <c r="J50" s="25"/>
      <c r="K50" s="26"/>
      <c r="L50" s="25"/>
      <c r="M50" s="1"/>
    </row>
    <row r="52" spans="1:14" s="15" customFormat="1" ht="18.75" x14ac:dyDescent="0.3">
      <c r="A52" s="14" t="s">
        <v>72</v>
      </c>
      <c r="B52" s="16"/>
      <c r="C52" s="16"/>
      <c r="D52" s="16"/>
      <c r="E52" s="16"/>
      <c r="F52" s="16"/>
      <c r="G52" s="16"/>
      <c r="H52" s="16"/>
      <c r="I52" s="29" t="s">
        <v>76</v>
      </c>
      <c r="J52" s="16"/>
      <c r="K52" s="16"/>
      <c r="L52" s="16"/>
      <c r="M52" s="16"/>
      <c r="N52" s="16"/>
    </row>
    <row r="54" spans="1:14" ht="15.75" thickBot="1" x14ac:dyDescent="0.3">
      <c r="B54" s="42" t="s">
        <v>61</v>
      </c>
      <c r="C54" s="7"/>
      <c r="D54" s="7"/>
      <c r="G54" s="55" t="s">
        <v>35</v>
      </c>
      <c r="H54" s="56"/>
      <c r="I54" s="56"/>
      <c r="J54" s="56"/>
      <c r="K54" s="56"/>
      <c r="L54" s="56"/>
      <c r="M54" s="56"/>
      <c r="N54" s="56"/>
    </row>
    <row r="55" spans="1:14" x14ac:dyDescent="0.25">
      <c r="B55" s="51" t="s">
        <v>88</v>
      </c>
      <c r="C55" s="52" t="s">
        <v>62</v>
      </c>
      <c r="D55" s="53">
        <f>ROUND(+L59+(M59-N59)/3,2)</f>
        <v>8.2799999999999994</v>
      </c>
      <c r="G55" s="56"/>
      <c r="H55" s="57"/>
      <c r="I55" s="57"/>
      <c r="J55" s="57" t="s">
        <v>36</v>
      </c>
      <c r="K55" s="57" t="s">
        <v>37</v>
      </c>
      <c r="L55" s="57" t="s">
        <v>38</v>
      </c>
      <c r="M55" s="57" t="s">
        <v>39</v>
      </c>
      <c r="N55" s="57" t="s">
        <v>60</v>
      </c>
    </row>
    <row r="56" spans="1:14" ht="15.75" thickBot="1" x14ac:dyDescent="0.3">
      <c r="B56" s="12" t="s">
        <v>89</v>
      </c>
      <c r="C56" s="46" t="s">
        <v>62</v>
      </c>
      <c r="D56" s="54">
        <f>ROUND(+L58+(M58-N58)/2,2)</f>
        <v>10.17</v>
      </c>
      <c r="G56" s="56"/>
      <c r="H56" s="58" t="s">
        <v>40</v>
      </c>
      <c r="I56" s="58" t="s">
        <v>41</v>
      </c>
      <c r="J56" s="58" t="s">
        <v>42</v>
      </c>
      <c r="K56" s="58" t="s">
        <v>43</v>
      </c>
      <c r="L56" s="58" t="s">
        <v>44</v>
      </c>
      <c r="M56" s="58" t="s">
        <v>45</v>
      </c>
      <c r="N56" s="58" t="s">
        <v>45</v>
      </c>
    </row>
    <row r="57" spans="1:14" x14ac:dyDescent="0.25">
      <c r="B57" s="51" t="s">
        <v>90</v>
      </c>
      <c r="C57" s="52" t="s">
        <v>62</v>
      </c>
      <c r="D57" s="53">
        <f>ROUND(+L57+(M57-N57)/3,2)</f>
        <v>6.17</v>
      </c>
      <c r="G57" s="56"/>
      <c r="H57" s="59"/>
      <c r="I57" s="60" t="s">
        <v>51</v>
      </c>
      <c r="J57" s="61">
        <f>2*F3+1</f>
        <v>3</v>
      </c>
      <c r="K57" s="61">
        <v>0</v>
      </c>
      <c r="L57" s="60">
        <f>+I3+1</f>
        <v>5</v>
      </c>
      <c r="M57" s="60">
        <f>2*(H3+1)/3</f>
        <v>6</v>
      </c>
      <c r="N57" s="60">
        <f>+MIN((I3+1)/2,L57)</f>
        <v>2.5</v>
      </c>
    </row>
    <row r="58" spans="1:14" x14ac:dyDescent="0.25">
      <c r="A58" s="1"/>
      <c r="B58" s="25"/>
      <c r="C58" s="24"/>
      <c r="D58" s="34"/>
      <c r="G58" s="56"/>
      <c r="H58" s="59"/>
      <c r="I58" s="60" t="s">
        <v>52</v>
      </c>
      <c r="J58" s="61">
        <f>2*G3+3</f>
        <v>15</v>
      </c>
      <c r="K58" s="61">
        <v>0</v>
      </c>
      <c r="L58" s="60">
        <f>+H3+4</f>
        <v>12</v>
      </c>
      <c r="M58" s="60">
        <f>+(F3+1)/2</f>
        <v>1</v>
      </c>
      <c r="N58" s="60">
        <f>MIN(2*(G3+1)/3,L58)</f>
        <v>4.666666666666667</v>
      </c>
    </row>
    <row r="59" spans="1:14" ht="15.75" thickBot="1" x14ac:dyDescent="0.3">
      <c r="G59" s="56"/>
      <c r="H59" s="62"/>
      <c r="I59" s="63" t="s">
        <v>53</v>
      </c>
      <c r="J59" s="64">
        <f>2*H3+2</f>
        <v>18</v>
      </c>
      <c r="K59" s="64">
        <v>0</v>
      </c>
      <c r="L59" s="63">
        <f>+G3+2</f>
        <v>8</v>
      </c>
      <c r="M59" s="63">
        <f>2*(I3+1)/3</f>
        <v>3.3333333333333335</v>
      </c>
      <c r="N59" s="63">
        <f>+MIN((E3+1)/2,L59)</f>
        <v>2.5</v>
      </c>
    </row>
    <row r="60" spans="1:14" x14ac:dyDescent="0.25">
      <c r="B60" s="42" t="s">
        <v>63</v>
      </c>
      <c r="C60" s="7"/>
      <c r="D60" s="7"/>
      <c r="E60" s="7"/>
      <c r="F60" s="7"/>
      <c r="G60" s="56"/>
      <c r="H60" s="56"/>
      <c r="I60" s="56"/>
      <c r="J60" s="56"/>
      <c r="K60" s="56"/>
      <c r="L60" s="56"/>
      <c r="M60" s="56"/>
      <c r="N60" s="56"/>
    </row>
    <row r="61" spans="1:14" ht="15.75" thickBot="1" x14ac:dyDescent="0.3">
      <c r="B61" s="51" t="s">
        <v>88</v>
      </c>
      <c r="C61" s="52" t="s">
        <v>64</v>
      </c>
      <c r="D61" s="53">
        <f>+M65/2</f>
        <v>1.3</v>
      </c>
      <c r="E61" s="52" t="s">
        <v>65</v>
      </c>
      <c r="F61" s="53">
        <f>ROUND(+K65/1.5,2)</f>
        <v>0</v>
      </c>
      <c r="G61" s="55" t="s">
        <v>46</v>
      </c>
      <c r="H61" s="56"/>
      <c r="I61" s="56"/>
      <c r="J61" s="56"/>
      <c r="K61" s="56"/>
      <c r="L61" s="56"/>
      <c r="M61" s="56"/>
      <c r="N61" s="56"/>
    </row>
    <row r="62" spans="1:14" x14ac:dyDescent="0.25">
      <c r="B62" s="12" t="s">
        <v>89</v>
      </c>
      <c r="C62" s="46" t="s">
        <v>64</v>
      </c>
      <c r="D62" s="54">
        <f>+M67/2</f>
        <v>1</v>
      </c>
      <c r="E62" s="46" t="s">
        <v>65</v>
      </c>
      <c r="F62" s="54">
        <f>ROUND(+K67/1.25,2)</f>
        <v>6.44</v>
      </c>
      <c r="G62" s="56"/>
      <c r="H62" s="57"/>
      <c r="I62" s="57"/>
      <c r="J62" s="57" t="s">
        <v>36</v>
      </c>
      <c r="K62" s="57" t="s">
        <v>47</v>
      </c>
      <c r="L62" s="57" t="s">
        <v>48</v>
      </c>
      <c r="M62" s="57" t="s">
        <v>39</v>
      </c>
      <c r="N62" s="57" t="s">
        <v>60</v>
      </c>
    </row>
    <row r="63" spans="1:14" ht="15.75" thickBot="1" x14ac:dyDescent="0.3">
      <c r="B63" s="51" t="s">
        <v>90</v>
      </c>
      <c r="C63" s="52" t="s">
        <v>64</v>
      </c>
      <c r="D63" s="53">
        <f>ROUND(+M66/3,2)</f>
        <v>1.86</v>
      </c>
      <c r="E63" s="52" t="s">
        <v>65</v>
      </c>
      <c r="F63" s="53">
        <f>ROUND(+K66/1.35,2)</f>
        <v>7.41</v>
      </c>
      <c r="G63" s="56"/>
      <c r="H63" s="58" t="s">
        <v>40</v>
      </c>
      <c r="I63" s="58" t="s">
        <v>41</v>
      </c>
      <c r="J63" s="58" t="s">
        <v>42</v>
      </c>
      <c r="K63" s="58" t="s">
        <v>49</v>
      </c>
      <c r="L63" s="58" t="s">
        <v>50</v>
      </c>
      <c r="M63" s="58" t="s">
        <v>45</v>
      </c>
      <c r="N63" s="58" t="s">
        <v>45</v>
      </c>
    </row>
    <row r="64" spans="1:14" x14ac:dyDescent="0.25">
      <c r="A64" s="1"/>
      <c r="B64" s="25"/>
      <c r="C64" s="24"/>
      <c r="D64" s="34"/>
      <c r="E64" s="24"/>
      <c r="F64" s="34"/>
      <c r="G64" s="56"/>
      <c r="H64" s="59"/>
      <c r="I64" s="60" t="s">
        <v>83</v>
      </c>
      <c r="J64" s="61">
        <f>+L64*0.75</f>
        <v>9</v>
      </c>
      <c r="K64" s="61">
        <v>0</v>
      </c>
      <c r="L64" s="60">
        <f>2*(C3+2)</f>
        <v>12</v>
      </c>
      <c r="M64" s="60">
        <f>3*(F3+1)/5</f>
        <v>1.2</v>
      </c>
      <c r="N64" s="60">
        <f>+MIN((F3+3)/7,L64)</f>
        <v>0.5714285714285714</v>
      </c>
    </row>
    <row r="65" spans="1:14" x14ac:dyDescent="0.25">
      <c r="G65" s="56"/>
      <c r="H65" s="59"/>
      <c r="I65" s="60" t="s">
        <v>84</v>
      </c>
      <c r="J65" s="61">
        <f>+IF(N3&lt;=2,L65,0.75)</f>
        <v>0.75</v>
      </c>
      <c r="K65" s="61">
        <f>+IF(L65-J65=0,(H3+1)*1.35,0)</f>
        <v>0</v>
      </c>
      <c r="L65" s="60">
        <f>3*(D3+1)</f>
        <v>3</v>
      </c>
      <c r="M65" s="60">
        <f>+(G3+7)/5</f>
        <v>2.6</v>
      </c>
      <c r="N65" s="60">
        <f>+MIN(3*(G3+2)/7,L65)</f>
        <v>3</v>
      </c>
    </row>
    <row r="66" spans="1:14" x14ac:dyDescent="0.25">
      <c r="B66" s="42" t="s">
        <v>66</v>
      </c>
      <c r="C66" s="7"/>
      <c r="D66" s="7"/>
      <c r="E66" s="7"/>
      <c r="F66" s="7"/>
      <c r="G66" s="56"/>
      <c r="H66" s="59"/>
      <c r="I66" s="60" t="s">
        <v>85</v>
      </c>
      <c r="J66" s="61">
        <f>+IF(N3&lt;=2,0.8*L66,L66)</f>
        <v>10</v>
      </c>
      <c r="K66" s="61">
        <f>+IF(L66-J66=0,(G3+2)*1.25,0)</f>
        <v>10</v>
      </c>
      <c r="L66" s="60">
        <f>2*(E3+1)</f>
        <v>10</v>
      </c>
      <c r="M66" s="60">
        <f>3*(H3+5)/7</f>
        <v>5.5714285714285712</v>
      </c>
      <c r="N66" s="60">
        <f>+MIN((H3+5)/6,L66)</f>
        <v>2.1666666666666665</v>
      </c>
    </row>
    <row r="67" spans="1:14" x14ac:dyDescent="0.25">
      <c r="B67" s="51" t="s">
        <v>88</v>
      </c>
      <c r="C67" s="52" t="s">
        <v>67</v>
      </c>
      <c r="D67" s="53">
        <f>0.8*N69</f>
        <v>2.1333333333333333</v>
      </c>
      <c r="E67" s="52" t="s">
        <v>68</v>
      </c>
      <c r="F67" s="53">
        <f>0.9*M69</f>
        <v>1.4400000000000002</v>
      </c>
      <c r="G67" s="56"/>
      <c r="H67" s="59"/>
      <c r="I67" s="60" t="s">
        <v>86</v>
      </c>
      <c r="J67" s="61">
        <f>+IF(N3=2,L67,IF(N3=3,L67,L67*0.9))</f>
        <v>27</v>
      </c>
      <c r="K67" s="61">
        <f>+IF(L67-J67=0,(I3+3)*1.15,0)</f>
        <v>8.0499999999999989</v>
      </c>
      <c r="L67" s="60">
        <f>3*(G3+3)</f>
        <v>27</v>
      </c>
      <c r="M67" s="60">
        <f>+(I3+6)/5</f>
        <v>2</v>
      </c>
      <c r="N67" s="60">
        <f>+MIN(3*(I3+3)/7,L67)</f>
        <v>3</v>
      </c>
    </row>
    <row r="68" spans="1:14" x14ac:dyDescent="0.25">
      <c r="B68" s="12" t="s">
        <v>89</v>
      </c>
      <c r="C68" s="46" t="s">
        <v>67</v>
      </c>
      <c r="D68" s="54">
        <f>0.9*N70</f>
        <v>0.75</v>
      </c>
      <c r="E68" s="46" t="s">
        <v>68</v>
      </c>
      <c r="F68" s="54">
        <f>0.4*M70</f>
        <v>0.48</v>
      </c>
      <c r="G68" s="56"/>
      <c r="H68" s="59"/>
      <c r="I68" s="60" t="s">
        <v>87</v>
      </c>
      <c r="J68" s="65">
        <f>+IF(N3=1,L68,IF(N3=4,L68,L68*0.7))</f>
        <v>8.3999999999999986</v>
      </c>
      <c r="K68" s="61">
        <f>+IF(L68-J68=0,(F3+1)*1.23,0)</f>
        <v>0</v>
      </c>
      <c r="L68" s="60">
        <f>2*(F3+5)</f>
        <v>12</v>
      </c>
      <c r="M68" s="60">
        <f>3*(C3+3)/5</f>
        <v>4.2</v>
      </c>
      <c r="N68" s="60">
        <f>+MIN((C3+4)/6,L68)</f>
        <v>1.3333333333333333</v>
      </c>
    </row>
    <row r="69" spans="1:14" x14ac:dyDescent="0.25">
      <c r="B69" s="51" t="s">
        <v>90</v>
      </c>
      <c r="C69" s="52" t="s">
        <v>67</v>
      </c>
      <c r="D69" s="53">
        <f>0.6*N69</f>
        <v>1.5999999999999999</v>
      </c>
      <c r="E69" s="52" t="s">
        <v>68</v>
      </c>
      <c r="F69" s="53">
        <f>0.7*M69</f>
        <v>1.1199999999999999</v>
      </c>
      <c r="G69" s="56"/>
      <c r="H69" s="59"/>
      <c r="I69" s="60" t="s">
        <v>54</v>
      </c>
      <c r="J69" s="61">
        <f>+IF(N3=1,L69,IF(N3=3,L69,L69*1.15))</f>
        <v>16</v>
      </c>
      <c r="K69" s="61">
        <f>+IF(L69-J69=0,-(G3+1)*1.15,0)</f>
        <v>-8.0499999999999989</v>
      </c>
      <c r="L69" s="60">
        <f>+(F3+1)*(G3+2)</f>
        <v>16</v>
      </c>
      <c r="M69" s="60">
        <f>+(E3+4)/5</f>
        <v>1.6</v>
      </c>
      <c r="N69" s="60">
        <f>+MIN(2*(E3+4)/6,L69)</f>
        <v>2.6666666666666665</v>
      </c>
    </row>
    <row r="70" spans="1:14" ht="15.75" thickBot="1" x14ac:dyDescent="0.3">
      <c r="A70" s="1"/>
      <c r="B70" s="25"/>
      <c r="C70" s="24"/>
      <c r="D70" s="34"/>
      <c r="E70" s="24"/>
      <c r="F70" s="34"/>
      <c r="G70" s="56"/>
      <c r="H70" s="62"/>
      <c r="I70" s="63" t="s">
        <v>55</v>
      </c>
      <c r="J70" s="66">
        <f>+IF(N3=2,L70,IF(N3=4,L70,1.2*L70))</f>
        <v>46.8</v>
      </c>
      <c r="K70" s="64">
        <f>+IF(L70-J70=0,-(H3+1)*1.23,0)</f>
        <v>0</v>
      </c>
      <c r="L70" s="63">
        <f>+SUM(D3:H3)*2+1</f>
        <v>39</v>
      </c>
      <c r="M70" s="63">
        <f>2*(D3+3)/5</f>
        <v>1.2</v>
      </c>
      <c r="N70" s="63">
        <f>+MIN((D3+5)/6,L70)</f>
        <v>0.83333333333333337</v>
      </c>
    </row>
    <row r="71" spans="1:14" x14ac:dyDescent="0.25">
      <c r="A71" s="1"/>
      <c r="B71" s="25"/>
      <c r="C71" s="24"/>
      <c r="D71" s="34"/>
      <c r="E71" s="24"/>
      <c r="F71" s="34"/>
      <c r="G71" s="1"/>
      <c r="H71" s="39"/>
      <c r="I71" s="40"/>
      <c r="J71" s="41"/>
      <c r="K71" s="41"/>
      <c r="L71" s="40"/>
      <c r="M71" s="40"/>
      <c r="N71" s="40"/>
    </row>
    <row r="72" spans="1:14" x14ac:dyDescent="0.25">
      <c r="A72" s="1"/>
      <c r="B72" s="25"/>
      <c r="C72" s="24"/>
      <c r="D72" s="34"/>
      <c r="E72" s="24"/>
      <c r="F72" s="34"/>
      <c r="G72" s="1"/>
      <c r="H72" s="39"/>
      <c r="I72" s="40"/>
      <c r="J72" s="41"/>
      <c r="K72" s="41"/>
      <c r="L72" s="40"/>
      <c r="M72" s="40"/>
      <c r="N72" s="40"/>
    </row>
    <row r="73" spans="1:14" x14ac:dyDescent="0.25">
      <c r="A73" s="1"/>
      <c r="B73" s="25"/>
      <c r="C73" s="24"/>
      <c r="D73" s="34"/>
      <c r="E73" s="24"/>
      <c r="F73" s="34"/>
      <c r="G73" s="1"/>
      <c r="H73" s="39"/>
      <c r="I73" s="40"/>
      <c r="J73" s="41"/>
      <c r="K73" s="41"/>
      <c r="L73" s="40"/>
      <c r="M73" s="40"/>
      <c r="N73" s="40"/>
    </row>
    <row r="74" spans="1:14" x14ac:dyDescent="0.25">
      <c r="A74" s="1"/>
      <c r="B74" s="25"/>
      <c r="C74" s="24"/>
      <c r="D74" s="34"/>
      <c r="E74" s="24"/>
      <c r="F74" s="34"/>
      <c r="G74" s="1"/>
      <c r="H74" s="39"/>
      <c r="I74" s="40"/>
      <c r="J74" s="41"/>
      <c r="K74" s="41"/>
      <c r="L74" s="40"/>
      <c r="M74" s="40"/>
      <c r="N74" s="40"/>
    </row>
    <row r="75" spans="1:14" x14ac:dyDescent="0.25">
      <c r="E75"/>
      <c r="F75"/>
      <c r="G75"/>
      <c r="H75"/>
      <c r="I75"/>
      <c r="J75"/>
      <c r="K75"/>
      <c r="L75"/>
    </row>
    <row r="76" spans="1:14" s="15" customFormat="1" ht="18.75" x14ac:dyDescent="0.3">
      <c r="A76" s="14" t="s">
        <v>73</v>
      </c>
      <c r="B76" s="16"/>
      <c r="C76" s="16"/>
      <c r="D76" s="16"/>
      <c r="E76" s="16"/>
      <c r="F76" s="16"/>
      <c r="G76" s="16"/>
      <c r="H76" s="16"/>
      <c r="I76" s="29" t="s">
        <v>76</v>
      </c>
      <c r="J76" s="16"/>
      <c r="K76" s="16"/>
    </row>
    <row r="78" spans="1:14" x14ac:dyDescent="0.25">
      <c r="D78" s="43" t="s">
        <v>71</v>
      </c>
      <c r="E78" s="67">
        <f>ROUND(+IF(N3=1,8,IF(N3=3,8,5))/(G3+1),3)</f>
        <v>1.143</v>
      </c>
      <c r="F78" s="29" t="s">
        <v>24</v>
      </c>
      <c r="G78" s="48" t="s">
        <v>22</v>
      </c>
      <c r="H78" s="67">
        <f>ROUND(+IF(N3=1,5,IF(N3=3,5,8))/(G3+1),3)</f>
        <v>0.71399999999999997</v>
      </c>
      <c r="I78" s="29" t="s">
        <v>25</v>
      </c>
      <c r="J78" s="16"/>
      <c r="K78" s="16"/>
    </row>
    <row r="79" spans="1:14" x14ac:dyDescent="0.25">
      <c r="D79" s="43" t="s">
        <v>26</v>
      </c>
      <c r="E79" s="67">
        <f>(I3+1)/2</f>
        <v>2.5</v>
      </c>
      <c r="F79" s="50" t="s">
        <v>24</v>
      </c>
      <c r="G79" s="68" t="s">
        <v>22</v>
      </c>
      <c r="H79" s="67">
        <f>(I3+1)/2</f>
        <v>2.5</v>
      </c>
      <c r="I79" s="29" t="s">
        <v>25</v>
      </c>
      <c r="J79" s="48" t="s">
        <v>28</v>
      </c>
      <c r="K79" s="45">
        <f>6*(I3+1)/2</f>
        <v>15</v>
      </c>
    </row>
    <row r="80" spans="1:14" x14ac:dyDescent="0.25">
      <c r="D80" s="16"/>
      <c r="E80" s="67">
        <f>+IF(N3=1,9,IF(N3=3,9,5))*(G3+1)/4</f>
        <v>15.75</v>
      </c>
      <c r="F80" s="50" t="s">
        <v>24</v>
      </c>
      <c r="G80" s="68" t="s">
        <v>22</v>
      </c>
      <c r="H80" s="67">
        <f>+IF(N3=1,5,IF(N3=3,5,9))*(G3+1)/4</f>
        <v>8.75</v>
      </c>
      <c r="I80" s="29" t="s">
        <v>25</v>
      </c>
      <c r="J80" s="48" t="s">
        <v>28</v>
      </c>
      <c r="K80" s="45">
        <f>45*(G3+1)/4</f>
        <v>78.75</v>
      </c>
    </row>
    <row r="81" spans="1:12" x14ac:dyDescent="0.25">
      <c r="D81" s="16"/>
      <c r="E81" s="50"/>
      <c r="F81" s="50" t="s">
        <v>69</v>
      </c>
      <c r="G81" s="50"/>
      <c r="H81" s="50"/>
      <c r="I81" s="29" t="s">
        <v>70</v>
      </c>
      <c r="J81" s="16"/>
      <c r="K81" s="16"/>
    </row>
    <row r="82" spans="1:12" x14ac:dyDescent="0.25">
      <c r="D82" s="1"/>
      <c r="E82" s="33"/>
      <c r="F82" s="33"/>
      <c r="G82" s="33"/>
      <c r="H82" s="33"/>
      <c r="I82" s="25"/>
      <c r="J82" s="1"/>
      <c r="K82" s="1"/>
    </row>
    <row r="83" spans="1:12" x14ac:dyDescent="0.25">
      <c r="D83" s="1"/>
      <c r="E83" s="33"/>
      <c r="F83" s="33"/>
      <c r="G83" s="33"/>
      <c r="H83" s="33"/>
      <c r="I83" s="25"/>
      <c r="J83" s="1"/>
      <c r="K83" s="1"/>
    </row>
    <row r="84" spans="1:12" x14ac:dyDescent="0.25">
      <c r="D84" s="1"/>
      <c r="E84" s="33"/>
      <c r="F84" s="33"/>
      <c r="G84" s="33"/>
      <c r="H84" s="33"/>
      <c r="I84" s="25"/>
      <c r="J84" s="1"/>
      <c r="K84" s="1"/>
    </row>
    <row r="85" spans="1:12" x14ac:dyDescent="0.25">
      <c r="D85" s="1"/>
      <c r="E85" s="33"/>
      <c r="F85" s="33"/>
      <c r="G85" s="33"/>
      <c r="H85" s="33"/>
      <c r="I85" s="25"/>
      <c r="J85" s="1"/>
      <c r="K85" s="1"/>
    </row>
    <row r="86" spans="1:12" x14ac:dyDescent="0.25">
      <c r="D86" s="1"/>
      <c r="E86" s="33"/>
      <c r="F86" s="33"/>
      <c r="G86" s="33"/>
      <c r="H86" s="33"/>
      <c r="I86" s="25"/>
      <c r="J86" s="1"/>
      <c r="K86" s="1"/>
    </row>
    <row r="87" spans="1:12" x14ac:dyDescent="0.25">
      <c r="D87" s="1"/>
      <c r="E87" s="33"/>
      <c r="F87" s="33"/>
      <c r="G87" s="33"/>
      <c r="H87" s="33"/>
      <c r="I87" s="25"/>
      <c r="J87" s="1"/>
      <c r="K87" s="1"/>
    </row>
    <row r="88" spans="1:12" x14ac:dyDescent="0.25">
      <c r="D88" s="1"/>
      <c r="E88" s="33"/>
      <c r="F88" s="33"/>
      <c r="G88" s="33"/>
      <c r="H88" s="33"/>
      <c r="I88" s="25"/>
      <c r="J88" s="1"/>
      <c r="K88" s="1"/>
    </row>
    <row r="90" spans="1:12" s="15" customFormat="1" ht="18.75" x14ac:dyDescent="0.3">
      <c r="A90" s="14" t="s">
        <v>74</v>
      </c>
      <c r="B90" s="16"/>
      <c r="C90" s="16"/>
      <c r="D90" s="16"/>
      <c r="E90" s="16"/>
      <c r="F90" s="16"/>
      <c r="G90" s="16"/>
      <c r="H90" s="16"/>
      <c r="I90" s="29" t="s">
        <v>77</v>
      </c>
    </row>
    <row r="91" spans="1:12" s="1" customFormat="1" ht="18.75" x14ac:dyDescent="0.3">
      <c r="A91" s="27"/>
      <c r="I91" s="28"/>
    </row>
    <row r="92" spans="1:12" x14ac:dyDescent="0.25">
      <c r="A92" s="1"/>
      <c r="B92" s="16"/>
      <c r="C92" s="16"/>
      <c r="D92" s="29"/>
      <c r="E92" s="29" t="s">
        <v>91</v>
      </c>
      <c r="F92" s="29" t="s">
        <v>92</v>
      </c>
      <c r="G92" s="29" t="s">
        <v>93</v>
      </c>
      <c r="H92" s="1"/>
      <c r="I92" s="1"/>
      <c r="J92" s="1"/>
      <c r="K92" s="1"/>
      <c r="L92" s="1"/>
    </row>
    <row r="93" spans="1:12" x14ac:dyDescent="0.25">
      <c r="A93" s="1"/>
      <c r="B93" s="29" t="s">
        <v>94</v>
      </c>
      <c r="C93" s="16"/>
      <c r="D93" s="29"/>
      <c r="E93" s="48">
        <f>+G3+1</f>
        <v>7</v>
      </c>
      <c r="F93" s="48">
        <f>+H3+2</f>
        <v>10</v>
      </c>
      <c r="G93" s="48">
        <f>+I3+1</f>
        <v>5</v>
      </c>
      <c r="H93" s="26"/>
      <c r="I93" s="1"/>
      <c r="J93" s="1"/>
      <c r="K93" s="1"/>
      <c r="L93" s="1"/>
    </row>
    <row r="94" spans="1:12" x14ac:dyDescent="0.25">
      <c r="A94" s="1"/>
      <c r="B94" s="29" t="s">
        <v>95</v>
      </c>
      <c r="C94" s="16"/>
      <c r="D94" s="29"/>
      <c r="E94" s="48">
        <f>+(F3+G3+H3+3)*11</f>
        <v>198</v>
      </c>
      <c r="F94" s="48">
        <f>+(I3+C3+D3+3)*10</f>
        <v>110</v>
      </c>
      <c r="G94" s="48">
        <f>+(H3+I3+D3+3)*12</f>
        <v>180</v>
      </c>
      <c r="H94" s="26"/>
      <c r="I94" s="1"/>
      <c r="J94" s="1"/>
      <c r="K94" s="1"/>
      <c r="L94" s="1"/>
    </row>
    <row r="95" spans="1:12" x14ac:dyDescent="0.25">
      <c r="A95" s="1"/>
      <c r="B95" s="29" t="s">
        <v>96</v>
      </c>
      <c r="C95" s="16"/>
      <c r="D95" s="29"/>
      <c r="E95" s="48">
        <f>+(I3+3)*16</f>
        <v>112</v>
      </c>
      <c r="F95" s="48">
        <f>+(G3+3)*20</f>
        <v>180</v>
      </c>
      <c r="G95" s="48">
        <f>+(H3+3)*18</f>
        <v>198</v>
      </c>
      <c r="H95" s="26"/>
      <c r="I95" s="1"/>
      <c r="J95" s="1"/>
      <c r="K95" s="1"/>
      <c r="L95" s="1"/>
    </row>
    <row r="96" spans="1:12" x14ac:dyDescent="0.25">
      <c r="A96" s="1"/>
      <c r="B96" s="1"/>
      <c r="C96" s="1"/>
      <c r="D96" s="25"/>
      <c r="E96" s="26"/>
      <c r="F96" s="26"/>
      <c r="G96" s="26"/>
      <c r="H96" s="26"/>
      <c r="I96" s="1"/>
      <c r="J96" s="1"/>
      <c r="K96" s="1"/>
      <c r="L96" s="1"/>
    </row>
    <row r="97" spans="1:12" x14ac:dyDescent="0.25">
      <c r="A97" s="1"/>
      <c r="B97" s="29" t="s">
        <v>97</v>
      </c>
      <c r="C97" s="16"/>
      <c r="D97" s="16"/>
      <c r="E97" s="29">
        <f>ROUND(0.7*SUM(E95:G95),0)</f>
        <v>343</v>
      </c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25"/>
      <c r="C98" s="25"/>
      <c r="D98" s="25"/>
      <c r="E98" s="25"/>
      <c r="F98" s="25"/>
      <c r="G98" s="25"/>
      <c r="H98" s="25"/>
      <c r="I98" s="25"/>
      <c r="J98" s="24"/>
      <c r="K98" s="25"/>
      <c r="L98" s="1"/>
    </row>
    <row r="99" spans="1:12" x14ac:dyDescent="0.25">
      <c r="A99" s="1"/>
      <c r="B99" s="29" t="str">
        <f>+IF(N3=1,"Si se pone en marcha la planta 2, entonces hay que poner en marcha la planta 3.",IF(N3=2,"Las plantas 1 y 2 no se pueden poner en marcha a la vez.","Si se pone en marcha la planta 1, entonces no se puede poner en marcha la planta 3."))</f>
        <v>Si se pone en marcha la planta 1, entonces no se puede poner en marcha la planta 3.</v>
      </c>
      <c r="C99" s="29"/>
      <c r="D99" s="29"/>
      <c r="E99" s="29"/>
      <c r="F99" s="29"/>
      <c r="G99" s="29"/>
      <c r="H99" s="29"/>
      <c r="I99" s="29"/>
      <c r="J99" s="24"/>
      <c r="K99" s="25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sheetProtection algorithmName="SHA-512" hashValue="VDvBE3jmnhZC5Rvqx4bpd26CqCTgIQpR/ktxzNqiz0aPmhdLenDOliUOaYkEuLhKOpxOCVS4F75vDXABNDky3Q==" saltValue="5Ad1uBeHaqsV/uksrUd+B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6" sqref="B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lisa</cp:lastModifiedBy>
  <dcterms:created xsi:type="dcterms:W3CDTF">2020-04-12T16:21:27Z</dcterms:created>
  <dcterms:modified xsi:type="dcterms:W3CDTF">2020-06-08T09:00:29Z</dcterms:modified>
</cp:coreProperties>
</file>